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INTERNET\"/>
    </mc:Choice>
  </mc:AlternateContent>
  <xr:revisionPtr revIDLastSave="0" documentId="8_{DB84D384-E34A-476C-94DB-F4B6896E1831}" xr6:coauthVersionLast="47" xr6:coauthVersionMax="47" xr10:uidLastSave="{00000000-0000-0000-0000-000000000000}"/>
  <bookViews>
    <workbookView xWindow="-120" yWindow="-120" windowWidth="24240" windowHeight="13140" xr2:uid="{5B54BE69-A1E9-45A9-B003-E764A749FC74}"/>
  </bookViews>
  <sheets>
    <sheet name="tab d'emprunt" sheetId="1" r:id="rId1"/>
  </sheets>
  <externalReferences>
    <externalReference r:id="rId2"/>
    <externalReference r:id="rId3"/>
  </externalReferences>
  <definedNames>
    <definedName name="Assez_Satisfaisante">[1]Feuil3!$C$2</definedName>
    <definedName name="comptalia">'[2]finance '!$O$9</definedName>
    <definedName name="epa">'[2]finance '!$L$10</definedName>
    <definedName name="greta">'[2]finance '!$O$8</definedName>
    <definedName name="maths">'[2]finance '!$O$6</definedName>
    <definedName name="Peu_démontrée">[1]Feuil3!$C$1</definedName>
    <definedName name="salaire">'[2]finance '!$O$5</definedName>
    <definedName name="Satisfaisante">[1]Feuil3!$C$3</definedName>
    <definedName name="_xlnm.Print_Area" localSheetId="0">'tab d''emprunt'!$A$1:$U$61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53" i="1"/>
  <c r="D51" i="1"/>
  <c r="D50" i="1"/>
  <c r="D46" i="1"/>
  <c r="D42" i="1"/>
  <c r="D41" i="1"/>
  <c r="B8" i="1"/>
  <c r="B9" i="1" s="1"/>
  <c r="P7" i="1"/>
  <c r="C8" i="1" s="1"/>
  <c r="D7" i="1"/>
  <c r="J7" i="1" s="1"/>
  <c r="C7" i="1"/>
  <c r="D43" i="1" l="1"/>
  <c r="L10" i="1"/>
  <c r="B10" i="1"/>
  <c r="D8" i="1"/>
  <c r="J8" i="1"/>
  <c r="J9" i="1" s="1"/>
  <c r="J10" i="1" s="1"/>
  <c r="G7" i="1"/>
  <c r="L9" i="1"/>
  <c r="L8" i="1"/>
  <c r="L7" i="1"/>
  <c r="P8" i="1"/>
  <c r="G8" i="1" l="1"/>
  <c r="D9" i="1"/>
  <c r="P9" i="1"/>
  <c r="C9" i="1"/>
  <c r="L11" i="1"/>
  <c r="B11" i="1"/>
  <c r="J11" i="1"/>
  <c r="C10" i="1" l="1"/>
  <c r="P10" i="1"/>
  <c r="G9" i="1"/>
  <c r="D10" i="1"/>
  <c r="L12" i="1"/>
  <c r="J12" i="1"/>
  <c r="B12" i="1"/>
  <c r="C11" i="1" l="1"/>
  <c r="P11" i="1"/>
  <c r="C12" i="1" s="1"/>
  <c r="B13" i="1"/>
  <c r="J13" i="1"/>
  <c r="L13" i="1"/>
  <c r="G10" i="1"/>
  <c r="D11" i="1"/>
  <c r="L14" i="1" l="1"/>
  <c r="J14" i="1"/>
  <c r="B14" i="1"/>
  <c r="P12" i="1"/>
  <c r="C13" i="1" s="1"/>
  <c r="G11" i="1"/>
  <c r="D12" i="1"/>
  <c r="B15" i="1" l="1"/>
  <c r="J15" i="1"/>
  <c r="L15" i="1"/>
  <c r="P13" i="1"/>
  <c r="C14" i="1" s="1"/>
  <c r="G12" i="1"/>
  <c r="D13" i="1"/>
  <c r="P14" i="1" l="1"/>
  <c r="C15" i="1" s="1"/>
  <c r="G13" i="1"/>
  <c r="D14" i="1"/>
  <c r="B16" i="1"/>
  <c r="L16" i="1"/>
  <c r="J16" i="1"/>
  <c r="G14" i="1" l="1"/>
  <c r="D15" i="1"/>
  <c r="B17" i="1"/>
  <c r="J17" i="1"/>
  <c r="L17" i="1"/>
  <c r="P15" i="1"/>
  <c r="C16" i="1" s="1"/>
  <c r="P16" i="1" l="1"/>
  <c r="C17" i="1" s="1"/>
  <c r="J18" i="1"/>
  <c r="B18" i="1"/>
  <c r="L18" i="1"/>
  <c r="G15" i="1"/>
  <c r="D16" i="1"/>
  <c r="G16" i="1" l="1"/>
  <c r="D17" i="1"/>
  <c r="P17" i="1"/>
  <c r="C18" i="1" s="1"/>
  <c r="L19" i="1"/>
  <c r="J19" i="1"/>
  <c r="B19" i="1"/>
  <c r="G17" i="1" l="1"/>
  <c r="D18" i="1"/>
  <c r="P18" i="1"/>
  <c r="C19" i="1" s="1"/>
  <c r="L20" i="1"/>
  <c r="B20" i="1"/>
  <c r="J20" i="1"/>
  <c r="G18" i="1" l="1"/>
  <c r="D19" i="1"/>
  <c r="P19" i="1"/>
  <c r="C20" i="1" s="1"/>
  <c r="B21" i="1"/>
  <c r="J21" i="1"/>
  <c r="L21" i="1"/>
  <c r="G19" i="1" l="1"/>
  <c r="D20" i="1"/>
  <c r="L22" i="1"/>
  <c r="G22" i="1"/>
  <c r="J22" i="1"/>
  <c r="B22" i="1"/>
  <c r="D22" i="1"/>
  <c r="P20" i="1"/>
  <c r="C21" i="1" s="1"/>
  <c r="G20" i="1" l="1"/>
  <c r="D21" i="1"/>
  <c r="G21" i="1" s="1"/>
  <c r="P21" i="1"/>
  <c r="C22" i="1" s="1"/>
  <c r="B23" i="1"/>
  <c r="L23" i="1"/>
  <c r="J23" i="1"/>
  <c r="G23" i="1"/>
  <c r="D23" i="1"/>
  <c r="P22" i="1" l="1"/>
  <c r="C23" i="1" s="1"/>
  <c r="D24" i="1"/>
  <c r="B24" i="1"/>
  <c r="G24" i="1"/>
  <c r="L24" i="1"/>
  <c r="J24" i="1"/>
  <c r="P23" i="1" l="1"/>
  <c r="C24" i="1" s="1"/>
  <c r="G25" i="1"/>
  <c r="B25" i="1"/>
  <c r="L25" i="1"/>
  <c r="J25" i="1"/>
  <c r="D25" i="1"/>
  <c r="P24" i="1" l="1"/>
  <c r="C25" i="1" s="1"/>
  <c r="J26" i="1"/>
  <c r="B26" i="1"/>
  <c r="G26" i="1"/>
  <c r="L26" i="1"/>
  <c r="D26" i="1"/>
  <c r="P25" i="1" l="1"/>
  <c r="C26" i="1" s="1"/>
  <c r="L27" i="1"/>
  <c r="J27" i="1"/>
  <c r="D27" i="1"/>
  <c r="B27" i="1"/>
  <c r="G27" i="1"/>
  <c r="P26" i="1" l="1"/>
  <c r="C27" i="1" s="1"/>
  <c r="L28" i="1"/>
  <c r="G28" i="1"/>
  <c r="D28" i="1"/>
  <c r="J28" i="1"/>
  <c r="B28" i="1"/>
  <c r="P27" i="1" l="1"/>
  <c r="C28" i="1" s="1"/>
  <c r="B29" i="1"/>
  <c r="J29" i="1"/>
  <c r="G29" i="1"/>
  <c r="D29" i="1"/>
  <c r="L29" i="1"/>
  <c r="L30" i="1" l="1"/>
  <c r="J30" i="1"/>
  <c r="B30" i="1"/>
  <c r="B31" i="1" s="1"/>
  <c r="G30" i="1"/>
  <c r="D30" i="1"/>
  <c r="P28" i="1"/>
  <c r="C29" i="1" s="1"/>
  <c r="P29" i="1" l="1"/>
  <c r="C30" i="1" s="1"/>
  <c r="L31" i="1"/>
  <c r="J31" i="1"/>
  <c r="J32" i="1" s="1"/>
  <c r="G31" i="1"/>
  <c r="G32" i="1" s="1"/>
  <c r="D31" i="1"/>
  <c r="L32" i="1" l="1"/>
  <c r="P30" i="1"/>
  <c r="C31" i="1" s="1"/>
  <c r="P31" i="1" l="1"/>
</calcChain>
</file>

<file path=xl/sharedStrings.xml><?xml version="1.0" encoding="utf-8"?>
<sst xmlns="http://schemas.openxmlformats.org/spreadsheetml/2006/main" count="8" uniqueCount="8">
  <si>
    <t>Montant prêté</t>
  </si>
  <si>
    <t xml:space="preserve">Taux d'intérêts </t>
  </si>
  <si>
    <t>Durée</t>
  </si>
  <si>
    <t>Montant restant dû</t>
  </si>
  <si>
    <t>Intérêts</t>
  </si>
  <si>
    <t xml:space="preserve">Remboursement du capital </t>
  </si>
  <si>
    <t>Annuités perçues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</si>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</sst>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00_-;\-* #,##0.00000_-;_-* &quot;-&quot;??_-;_-@_-"/>
    <numFmt numFmtId="167" formatCode="_-* #,##0.000000_-;\-* #,##0.000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43" fontId="0" fillId="0" borderId="0" xfId="1" applyFont="1"/>
    <xf numFmtId="43" fontId="3" fillId="2" borderId="1" xfId="1" applyFont="1" applyFill="1" applyBorder="1"/>
    <xf numFmtId="43" fontId="3" fillId="2" borderId="2" xfId="1" applyFont="1" applyFill="1" applyBorder="1"/>
    <xf numFmtId="43" fontId="3" fillId="0" borderId="0" xfId="1" applyFont="1"/>
    <xf numFmtId="43" fontId="3" fillId="2" borderId="3" xfId="1" applyFont="1" applyFill="1" applyBorder="1"/>
    <xf numFmtId="10" fontId="3" fillId="2" borderId="2" xfId="2" applyNumberFormat="1" applyFont="1" applyFill="1" applyBorder="1"/>
    <xf numFmtId="43" fontId="0" fillId="0" borderId="7" xfId="1" applyFont="1" applyBorder="1"/>
    <xf numFmtId="43" fontId="3" fillId="0" borderId="7" xfId="1" applyFont="1" applyBorder="1"/>
    <xf numFmtId="164" fontId="0" fillId="0" borderId="0" xfId="1" applyNumberFormat="1" applyFont="1"/>
    <xf numFmtId="43" fontId="3" fillId="0" borderId="11" xfId="1" applyFont="1" applyBorder="1"/>
    <xf numFmtId="43" fontId="3" fillId="0" borderId="0" xfId="1" applyFont="1" applyBorder="1"/>
    <xf numFmtId="43" fontId="2" fillId="0" borderId="0" xfId="1"/>
    <xf numFmtId="43" fontId="2" fillId="0" borderId="11" xfId="1" applyBorder="1"/>
    <xf numFmtId="43" fontId="2" fillId="0" borderId="7" xfId="1" applyBorder="1"/>
    <xf numFmtId="43" fontId="2" fillId="0" borderId="9" xfId="1" applyBorder="1"/>
    <xf numFmtId="43" fontId="0" fillId="0" borderId="8" xfId="1" applyFont="1" applyBorder="1"/>
    <xf numFmtId="43" fontId="4" fillId="0" borderId="7" xfId="1" applyFont="1" applyBorder="1"/>
    <xf numFmtId="43" fontId="4" fillId="0" borderId="9" xfId="1" applyFont="1" applyBorder="1"/>
    <xf numFmtId="165" fontId="0" fillId="0" borderId="0" xfId="1" applyNumberFormat="1" applyFont="1"/>
    <xf numFmtId="166" fontId="0" fillId="0" borderId="0" xfId="1" applyNumberFormat="1" applyFont="1"/>
    <xf numFmtId="43" fontId="0" fillId="0" borderId="0" xfId="1" applyFont="1" applyAlignment="1">
      <alignment wrapText="1"/>
    </xf>
    <xf numFmtId="167" fontId="0" fillId="0" borderId="0" xfId="1" applyNumberFormat="1" applyFont="1"/>
    <xf numFmtId="43" fontId="4" fillId="0" borderId="0" xfId="1" applyFont="1"/>
    <xf numFmtId="164" fontId="1" fillId="0" borderId="10" xfId="1" applyNumberFormat="1" applyFont="1" applyBorder="1"/>
    <xf numFmtId="43" fontId="1" fillId="0" borderId="0" xfId="1" applyFont="1"/>
    <xf numFmtId="164" fontId="1" fillId="0" borderId="0" xfId="1" applyNumberFormat="1" applyFont="1"/>
    <xf numFmtId="43" fontId="5" fillId="0" borderId="4" xfId="1" applyFont="1" applyBorder="1" applyAlignment="1">
      <alignment horizontal="left" wrapText="1"/>
    </xf>
    <xf numFmtId="43" fontId="5" fillId="0" borderId="5" xfId="1" applyFont="1" applyBorder="1"/>
    <xf numFmtId="43" fontId="5" fillId="0" borderId="5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 vertical="top" wrapText="1"/>
    </xf>
    <xf numFmtId="43" fontId="5" fillId="0" borderId="5" xfId="1" applyFont="1" applyBorder="1" applyAlignment="1">
      <alignment vertical="distributed"/>
    </xf>
    <xf numFmtId="43" fontId="5" fillId="0" borderId="6" xfId="1" applyFont="1" applyBorder="1" applyAlignment="1">
      <alignment horizontal="center" wrapText="1"/>
    </xf>
    <xf numFmtId="43" fontId="5" fillId="0" borderId="8" xfId="1" applyFont="1" applyBorder="1" applyAlignment="1">
      <alignment horizontal="left" wrapText="1"/>
    </xf>
    <xf numFmtId="43" fontId="5" fillId="0" borderId="7" xfId="1" applyFont="1" applyBorder="1"/>
    <xf numFmtId="43" fontId="5" fillId="0" borderId="7" xfId="1" applyFont="1" applyBorder="1" applyAlignment="1">
      <alignment horizontal="center" vertical="center"/>
    </xf>
    <xf numFmtId="43" fontId="5" fillId="0" borderId="7" xfId="1" applyFont="1" applyBorder="1" applyAlignment="1">
      <alignment horizontal="center"/>
    </xf>
    <xf numFmtId="43" fontId="5" fillId="0" borderId="7" xfId="1" applyFont="1" applyBorder="1" applyAlignment="1">
      <alignment horizontal="center" vertical="top" wrapText="1"/>
    </xf>
    <xf numFmtId="43" fontId="5" fillId="0" borderId="7" xfId="1" applyFont="1" applyBorder="1" applyAlignment="1">
      <alignment vertical="distributed"/>
    </xf>
    <xf numFmtId="43" fontId="5" fillId="0" borderId="9" xfId="1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BTS%20CG/BTS%20CG/2023/PARCOURSUP%20CG%202021%20FICHIER%20DEPOSE%20LE%2029%2004%202021%20L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urent/D_/Laurent/DIVERS/SK%20planning%20fi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72027U_BTS-CG_6595-11"/>
      <sheetName val="Feuil3"/>
      <sheetName val="0572027U_BTS-CG_6595-BACPRO_VO"/>
      <sheetName val="0572027U_BTS-CG__BP_MARYLENE"/>
      <sheetName val="0572027U_BTS-CG_-BPRETR_AUDREY"/>
      <sheetName val="_BTS-CG-BGBTR_AUDREY"/>
      <sheetName val="Feuil4"/>
      <sheetName val="0572027U_BTS-TECHN_SAMIRA"/>
      <sheetName val="0572027U_BTS-CG_LAURENT"/>
      <sheetName val="Feuil6"/>
      <sheetName val="Feuil7"/>
    </sheetNames>
    <sheetDataSet>
      <sheetData sheetId="0"/>
      <sheetData sheetId="1">
        <row r="1">
          <cell r="C1" t="str">
            <v>Peu démontrée</v>
          </cell>
        </row>
        <row r="2">
          <cell r="C2" t="str">
            <v>Assez Satisfaisante</v>
          </cell>
        </row>
        <row r="3">
          <cell r="C3" t="str">
            <v>Satisfaisante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"/>
      <sheetName val="planning"/>
    </sheetNames>
    <sheetDataSet>
      <sheetData sheetId="0">
        <row r="5">
          <cell r="O5">
            <v>2200</v>
          </cell>
        </row>
        <row r="6">
          <cell r="O6">
            <v>1000</v>
          </cell>
        </row>
        <row r="10">
          <cell r="L10">
            <v>1000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A914-CC25-4E97-A1B7-0AABA3883669}">
  <sheetPr>
    <tabColor rgb="FF00B0F0"/>
  </sheetPr>
  <dimension ref="B1:P61"/>
  <sheetViews>
    <sheetView showGridLines="0" tabSelected="1" zoomScale="110" zoomScaleNormal="110" zoomScaleSheetLayoutView="100" workbookViewId="0">
      <selection activeCell="J21" sqref="J21"/>
    </sheetView>
  </sheetViews>
  <sheetFormatPr baseColWidth="10" defaultColWidth="11" defaultRowHeight="15" x14ac:dyDescent="0.25"/>
  <cols>
    <col min="1" max="1" width="3.7109375" style="1" customWidth="1"/>
    <col min="2" max="2" width="4.85546875" style="1" customWidth="1"/>
    <col min="3" max="3" width="14.28515625" style="1" customWidth="1"/>
    <col min="4" max="4" width="15" style="1" bestFit="1" customWidth="1"/>
    <col min="5" max="5" width="3.140625" style="1" customWidth="1"/>
    <col min="6" max="6" width="2.85546875" style="1" customWidth="1"/>
    <col min="7" max="7" width="12.5703125" style="1" customWidth="1"/>
    <col min="8" max="8" width="9.140625" style="1" customWidth="1"/>
    <col min="9" max="9" width="2.7109375" style="1" customWidth="1"/>
    <col min="10" max="10" width="13.7109375" style="1" customWidth="1"/>
    <col min="11" max="11" width="9" style="1" customWidth="1"/>
    <col min="12" max="12" width="14.5703125" style="1" customWidth="1"/>
    <col min="13" max="13" width="13" style="1" customWidth="1"/>
    <col min="14" max="14" width="11.28515625" style="1" bestFit="1" customWidth="1"/>
    <col min="15" max="15" width="4.7109375" style="1" customWidth="1"/>
    <col min="16" max="16" width="14.140625" style="25" customWidth="1"/>
    <col min="17" max="17" width="12.85546875" style="1" bestFit="1" customWidth="1"/>
    <col min="18" max="18" width="11" style="1"/>
    <col min="19" max="19" width="11.28515625" style="1" bestFit="1" customWidth="1"/>
    <col min="20" max="20" width="12.7109375" style="1" bestFit="1" customWidth="1"/>
    <col min="21" max="16384" width="11" style="1"/>
  </cols>
  <sheetData>
    <row r="1" spans="2:16" ht="6.75" customHeight="1" thickBot="1" x14ac:dyDescent="0.3"/>
    <row r="2" spans="2:16" ht="16.5" thickTop="1" thickBot="1" x14ac:dyDescent="0.3">
      <c r="C2" s="2" t="s">
        <v>0</v>
      </c>
      <c r="D2" s="3">
        <v>200000</v>
      </c>
      <c r="E2" s="4"/>
      <c r="F2" s="2" t="s">
        <v>1</v>
      </c>
      <c r="G2" s="5"/>
      <c r="H2" s="6">
        <v>0.03</v>
      </c>
      <c r="I2" s="4"/>
      <c r="J2" s="4"/>
      <c r="K2" s="2" t="s">
        <v>2</v>
      </c>
      <c r="L2" s="3">
        <v>15</v>
      </c>
    </row>
    <row r="3" spans="2:16" ht="3.75" customHeight="1" thickTop="1" x14ac:dyDescent="0.25">
      <c r="C3" s="4"/>
      <c r="D3" s="4"/>
      <c r="E3" s="4"/>
      <c r="F3" s="4"/>
      <c r="G3" s="4"/>
      <c r="H3" s="4"/>
      <c r="I3" s="4"/>
      <c r="J3" s="4"/>
      <c r="K3" s="4"/>
      <c r="L3" s="4"/>
    </row>
    <row r="4" spans="2:16" ht="5.25" customHeight="1" x14ac:dyDescent="0.25">
      <c r="C4" s="4"/>
      <c r="D4" s="4"/>
      <c r="E4" s="4"/>
      <c r="F4" s="4"/>
      <c r="G4" s="4"/>
      <c r="H4" s="4"/>
      <c r="I4" s="4"/>
      <c r="J4" s="4"/>
      <c r="K4" s="4"/>
      <c r="L4" s="4"/>
    </row>
    <row r="5" spans="2:16" ht="2.25" customHeight="1" x14ac:dyDescent="0.25">
      <c r="C5" s="4"/>
      <c r="D5" s="27" t="s">
        <v>3</v>
      </c>
      <c r="E5" s="28"/>
      <c r="F5" s="28"/>
      <c r="G5" s="29" t="s">
        <v>4</v>
      </c>
      <c r="H5" s="30"/>
      <c r="I5" s="31" t="s">
        <v>5</v>
      </c>
      <c r="J5" s="31"/>
      <c r="K5" s="32"/>
      <c r="L5" s="33" t="s">
        <v>6</v>
      </c>
    </row>
    <row r="6" spans="2:16" ht="23.25" customHeight="1" x14ac:dyDescent="0.25">
      <c r="B6" s="7"/>
      <c r="C6" s="8"/>
      <c r="D6" s="34"/>
      <c r="E6" s="35"/>
      <c r="F6" s="35"/>
      <c r="G6" s="36"/>
      <c r="H6" s="37"/>
      <c r="I6" s="38"/>
      <c r="J6" s="38"/>
      <c r="K6" s="39"/>
      <c r="L6" s="40"/>
      <c r="P6" s="26">
        <v>1</v>
      </c>
    </row>
    <row r="7" spans="2:16" x14ac:dyDescent="0.25">
      <c r="B7" s="24">
        <v>1</v>
      </c>
      <c r="C7" s="4" t="str">
        <f>"Année "&amp;P6</f>
        <v>Année 1</v>
      </c>
      <c r="D7" s="4">
        <f>+D2</f>
        <v>200000</v>
      </c>
      <c r="E7" s="4"/>
      <c r="F7" s="4"/>
      <c r="G7" s="4">
        <f>+D7*H$2</f>
        <v>6000</v>
      </c>
      <c r="H7" s="4"/>
      <c r="I7" s="4"/>
      <c r="J7" s="4">
        <f>+D7*$H$2/((1+$H$2)^$L$2-1)</f>
        <v>10753.316092457611</v>
      </c>
      <c r="K7" s="4"/>
      <c r="L7" s="10">
        <f>+$D$7*$H$2/(1-(1+$H$2)^-$L$2)</f>
        <v>16753.316092457608</v>
      </c>
      <c r="P7" s="26">
        <f>+P6+1</f>
        <v>2</v>
      </c>
    </row>
    <row r="8" spans="2:16" x14ac:dyDescent="0.25">
      <c r="B8" s="24">
        <f>1+B7</f>
        <v>2</v>
      </c>
      <c r="C8" s="4" t="str">
        <f>"Année "&amp;P7</f>
        <v>Année 2</v>
      </c>
      <c r="D8" s="4">
        <f>IF($L$2&gt;B7,+D7-J7,"")</f>
        <v>189246.68390754238</v>
      </c>
      <c r="E8" s="4"/>
      <c r="F8" s="4"/>
      <c r="G8" s="4">
        <f>IF($L$2&gt;B7,+D8*$H$2,"")</f>
        <v>5677.4005172262714</v>
      </c>
      <c r="H8" s="4"/>
      <c r="I8" s="4"/>
      <c r="J8" s="4">
        <f>IF($L$2&gt;B7,+J7*(1+$H$2),"")</f>
        <v>11075.91557523134</v>
      </c>
      <c r="K8" s="4"/>
      <c r="L8" s="10">
        <f>IF($L$2&gt;B7,+$D$7*$H$2/(1-(1+$H$2)^-$L$2),"")</f>
        <v>16753.316092457608</v>
      </c>
      <c r="N8" s="9"/>
      <c r="P8" s="26">
        <f t="shared" ref="P8:P31" si="0">+P7+1</f>
        <v>3</v>
      </c>
    </row>
    <row r="9" spans="2:16" x14ac:dyDescent="0.25">
      <c r="B9" s="24">
        <f t="shared" ref="B9:B31" si="1">1+B8</f>
        <v>3</v>
      </c>
      <c r="C9" s="4" t="str">
        <f>"Année "&amp;P8</f>
        <v>Année 3</v>
      </c>
      <c r="D9" s="4">
        <f>IF($L$2&gt;B8,+D8-J8,"")</f>
        <v>178170.76833231104</v>
      </c>
      <c r="E9" s="4"/>
      <c r="F9" s="4"/>
      <c r="G9" s="4">
        <f>IF($L$2&gt;B8,+D9*$H$2,"")</f>
        <v>5345.1230499693311</v>
      </c>
      <c r="H9" s="4"/>
      <c r="I9" s="4"/>
      <c r="J9" s="4">
        <f>IF($L$2&gt;B8,+J8*(1+$H$2),"")</f>
        <v>11408.193042488281</v>
      </c>
      <c r="K9" s="4"/>
      <c r="L9" s="10">
        <f>IF($L$2&gt;B8,+$D$7*$H$2/(1-(1+$H$2)^-$L$2),"")</f>
        <v>16753.316092457608</v>
      </c>
      <c r="N9" s="9"/>
      <c r="P9" s="26">
        <f t="shared" si="0"/>
        <v>4</v>
      </c>
    </row>
    <row r="10" spans="2:16" ht="12.75" customHeight="1" x14ac:dyDescent="0.25">
      <c r="B10" s="24">
        <f t="shared" si="1"/>
        <v>4</v>
      </c>
      <c r="C10" s="4" t="str">
        <f>"Année "&amp;P9</f>
        <v>Année 4</v>
      </c>
      <c r="D10" s="4">
        <f>IF($L$2&gt;B9,+D9-J9,"")</f>
        <v>166762.57528982277</v>
      </c>
      <c r="E10" s="4"/>
      <c r="F10" s="4"/>
      <c r="G10" s="4">
        <f>IF($L$2&gt;B9,+D10*$H$2,"")</f>
        <v>5002.8772586946825</v>
      </c>
      <c r="H10" s="4"/>
      <c r="I10" s="4"/>
      <c r="J10" s="4">
        <f>IF($L$2&gt;B9,+J9*(1+$H$2),"")</f>
        <v>11750.43883376293</v>
      </c>
      <c r="K10" s="4"/>
      <c r="L10" s="10">
        <f>IF($L$2&gt;B9,+$D$7*$H$2/(1-(1+$H$2)^-$L$2),"")</f>
        <v>16753.316092457608</v>
      </c>
      <c r="N10" s="9"/>
      <c r="P10" s="26">
        <f t="shared" si="0"/>
        <v>5</v>
      </c>
    </row>
    <row r="11" spans="2:16" x14ac:dyDescent="0.25">
      <c r="B11" s="24">
        <f t="shared" si="1"/>
        <v>5</v>
      </c>
      <c r="C11" s="11" t="str">
        <f>"Année "&amp;P10</f>
        <v>Année 5</v>
      </c>
      <c r="D11" s="11">
        <f>IF($L$2&gt;B10,+D10-J10,"")</f>
        <v>155012.13645605984</v>
      </c>
      <c r="E11" s="11"/>
      <c r="F11" s="11"/>
      <c r="G11" s="11">
        <f>IF($L$2&gt;B10,+D11*$H$2,"")</f>
        <v>4650.3640936817956</v>
      </c>
      <c r="H11" s="11"/>
      <c r="I11" s="11"/>
      <c r="J11" s="11">
        <f>IF($L$2&gt;B10,+J10*(1+$H$2),"")</f>
        <v>12102.951998775818</v>
      </c>
      <c r="K11" s="11"/>
      <c r="L11" s="10">
        <f>IF($L$2&gt;B10,+$D$7*$H$2/(1-(1+$H$2)^-$L$2),"")</f>
        <v>16753.316092457608</v>
      </c>
      <c r="N11" s="9"/>
      <c r="P11" s="26">
        <f t="shared" si="0"/>
        <v>6</v>
      </c>
    </row>
    <row r="12" spans="2:16" x14ac:dyDescent="0.25">
      <c r="B12" s="24">
        <f t="shared" si="1"/>
        <v>6</v>
      </c>
      <c r="C12" s="11" t="str">
        <f t="shared" ref="C12:C31" si="2">"Année "&amp;P11</f>
        <v>Année 6</v>
      </c>
      <c r="D12" s="4">
        <f>IF($L$2&gt;B11,+D11-J11,"")</f>
        <v>142909.18445728402</v>
      </c>
      <c r="E12" s="4"/>
      <c r="F12" s="4"/>
      <c r="G12" s="4">
        <f>IF($L$2&gt;B11,+D12*$H$2,"")</f>
        <v>4287.2755337185208</v>
      </c>
      <c r="H12" s="4"/>
      <c r="I12" s="4"/>
      <c r="J12" s="4">
        <f>IF($L$2&gt;B11,+J11*(1+$H$2),"")</f>
        <v>12466.040558739092</v>
      </c>
      <c r="K12" s="4"/>
      <c r="L12" s="10">
        <f>IF($L$2&gt;B11,+$D$7*$H$2/(1-(1+$H$2)^-$L$2),"")</f>
        <v>16753.316092457608</v>
      </c>
      <c r="N12" s="9"/>
      <c r="P12" s="26">
        <f>+P11+1</f>
        <v>7</v>
      </c>
    </row>
    <row r="13" spans="2:16" x14ac:dyDescent="0.25">
      <c r="B13" s="24">
        <f t="shared" si="1"/>
        <v>7</v>
      </c>
      <c r="C13" s="11" t="str">
        <f t="shared" si="2"/>
        <v>Année 7</v>
      </c>
      <c r="D13" s="4">
        <f>IF($L$2&gt;B12,+D12-J12,"")</f>
        <v>130443.14389854492</v>
      </c>
      <c r="E13" s="4"/>
      <c r="F13" s="4"/>
      <c r="G13" s="4">
        <f>IF($L$2&gt;B12,+D13*$H$2,"")</f>
        <v>3913.2943169563473</v>
      </c>
      <c r="H13" s="4"/>
      <c r="I13" s="4"/>
      <c r="J13" s="4">
        <f>IF($L$2&gt;B12,+J12*(1+$H$2),"")</f>
        <v>12840.021775501265</v>
      </c>
      <c r="K13" s="4"/>
      <c r="L13" s="10">
        <f>IF($L$2&gt;B12,+$D$7*$H$2/(1-(1+$H$2)^-$L$2),"")</f>
        <v>16753.316092457608</v>
      </c>
      <c r="N13" s="9"/>
      <c r="P13" s="26">
        <f t="shared" si="0"/>
        <v>8</v>
      </c>
    </row>
    <row r="14" spans="2:16" x14ac:dyDescent="0.25">
      <c r="B14" s="24">
        <f t="shared" si="1"/>
        <v>8</v>
      </c>
      <c r="C14" s="11" t="str">
        <f t="shared" si="2"/>
        <v>Année 8</v>
      </c>
      <c r="D14" s="4">
        <f>IF($L$2&gt;B13,+D13-J13,"")</f>
        <v>117603.12212304365</v>
      </c>
      <c r="E14" s="4"/>
      <c r="F14" s="4"/>
      <c r="G14" s="4">
        <f>IF($L$2&gt;B13,+D14*$H$2,"")</f>
        <v>3528.0936636913093</v>
      </c>
      <c r="H14" s="4"/>
      <c r="I14" s="4"/>
      <c r="J14" s="4">
        <f>IF($L$2&gt;B13,+J13*(1+$H$2),"")</f>
        <v>13225.222428766303</v>
      </c>
      <c r="K14" s="4"/>
      <c r="L14" s="10">
        <f>IF($L$2&gt;B13,+$D$7*$H$2/(1-(1+$H$2)^-$L$2),"")</f>
        <v>16753.316092457608</v>
      </c>
      <c r="N14" s="9"/>
      <c r="P14" s="26">
        <f t="shared" si="0"/>
        <v>9</v>
      </c>
    </row>
    <row r="15" spans="2:16" x14ac:dyDescent="0.25">
      <c r="B15" s="24">
        <f t="shared" si="1"/>
        <v>9</v>
      </c>
      <c r="C15" s="11" t="str">
        <f t="shared" si="2"/>
        <v>Année 9</v>
      </c>
      <c r="D15" s="4">
        <f>IF($L$2&gt;B14,+D14-J14,"")</f>
        <v>104377.89969427735</v>
      </c>
      <c r="E15" s="4"/>
      <c r="F15" s="4"/>
      <c r="G15" s="4">
        <f>IF($L$2&gt;B14,+D15*$H$2,"")</f>
        <v>3131.3369908283203</v>
      </c>
      <c r="H15" s="4"/>
      <c r="I15" s="4"/>
      <c r="J15" s="4">
        <f>IF($L$2&gt;B14,+J14*(1+$H$2),"")</f>
        <v>13621.979101629293</v>
      </c>
      <c r="K15" s="4"/>
      <c r="L15" s="10">
        <f>IF($L$2&gt;B14,+$D$7*$H$2/(1-(1+$H$2)^-$L$2),"")</f>
        <v>16753.316092457608</v>
      </c>
      <c r="N15" s="9"/>
      <c r="P15" s="26">
        <f t="shared" si="0"/>
        <v>10</v>
      </c>
    </row>
    <row r="16" spans="2:16" x14ac:dyDescent="0.25">
      <c r="B16" s="24">
        <f t="shared" si="1"/>
        <v>10</v>
      </c>
      <c r="C16" s="11" t="str">
        <f t="shared" si="2"/>
        <v>Année 10</v>
      </c>
      <c r="D16" s="4">
        <f>IF($L$2&gt;B15,+D15-J15,"")</f>
        <v>90755.920592648064</v>
      </c>
      <c r="E16" s="4"/>
      <c r="F16" s="4"/>
      <c r="G16" s="4">
        <f>IF($L$2&gt;B15,+D16*$H$2,"")</f>
        <v>2722.6776177794418</v>
      </c>
      <c r="H16" s="4"/>
      <c r="I16" s="4"/>
      <c r="J16" s="4">
        <f>IF($L$2&gt;B15,+J15*(1+$H$2),"")</f>
        <v>14030.638474678171</v>
      </c>
      <c r="K16" s="4"/>
      <c r="L16" s="10">
        <f>IF($L$2&gt;B15,+$D$7*$H$2/(1-(1+$H$2)^-$L$2),"")</f>
        <v>16753.316092457608</v>
      </c>
      <c r="M16" s="12"/>
      <c r="N16" s="9"/>
      <c r="P16" s="26">
        <f t="shared" si="0"/>
        <v>11</v>
      </c>
    </row>
    <row r="17" spans="2:16" x14ac:dyDescent="0.25">
      <c r="B17" s="24">
        <f t="shared" si="1"/>
        <v>11</v>
      </c>
      <c r="C17" s="11" t="str">
        <f t="shared" si="2"/>
        <v>Année 11</v>
      </c>
      <c r="D17" s="4">
        <f>IF($L$2&gt;B16,+D16-J16,"")</f>
        <v>76725.282117969895</v>
      </c>
      <c r="E17" s="4"/>
      <c r="F17" s="4"/>
      <c r="G17" s="4">
        <f>IF($L$2&gt;B16,+D17*$H$2,"")</f>
        <v>2301.7584635390967</v>
      </c>
      <c r="H17" s="4"/>
      <c r="I17" s="4"/>
      <c r="J17" s="4">
        <f>IF($L$2&gt;B16,+J16*(1+$H$2),"")</f>
        <v>14451.557628918517</v>
      </c>
      <c r="K17" s="4"/>
      <c r="L17" s="10">
        <f>IF($L$2&gt;B16,+$D$7*$H$2/(1-(1+$H$2)^-$L$2),"")</f>
        <v>16753.316092457608</v>
      </c>
      <c r="M17" s="12"/>
      <c r="N17" s="9"/>
      <c r="P17" s="26">
        <f t="shared" si="0"/>
        <v>12</v>
      </c>
    </row>
    <row r="18" spans="2:16" x14ac:dyDescent="0.25">
      <c r="B18" s="24">
        <f t="shared" si="1"/>
        <v>12</v>
      </c>
      <c r="C18" s="11" t="str">
        <f t="shared" si="2"/>
        <v>Année 12</v>
      </c>
      <c r="D18" s="4">
        <f>IF($L$2&gt;B17,+D17-J17,"")</f>
        <v>62273.724489051376</v>
      </c>
      <c r="E18" s="4"/>
      <c r="F18" s="4"/>
      <c r="G18" s="4">
        <f>IF($L$2&gt;B17,+D18*$H$2,"")</f>
        <v>1868.2117346715413</v>
      </c>
      <c r="H18" s="4"/>
      <c r="I18" s="4"/>
      <c r="J18" s="4">
        <f>IF($L$2&gt;B17,+J17*(1+$H$2),"")</f>
        <v>14885.104357786073</v>
      </c>
      <c r="K18" s="4"/>
      <c r="L18" s="10">
        <f>IF($L$2&gt;B17,+$D$7*$H$2/(1-(1+$H$2)^-$L$2),"")</f>
        <v>16753.316092457608</v>
      </c>
      <c r="M18" s="12"/>
      <c r="N18" s="9"/>
      <c r="P18" s="26">
        <f t="shared" si="0"/>
        <v>13</v>
      </c>
    </row>
    <row r="19" spans="2:16" x14ac:dyDescent="0.25">
      <c r="B19" s="24">
        <f t="shared" si="1"/>
        <v>13</v>
      </c>
      <c r="C19" s="11" t="str">
        <f t="shared" si="2"/>
        <v>Année 13</v>
      </c>
      <c r="D19" s="4">
        <f>IF($L$2&gt;B18,+D18-J18,"")</f>
        <v>47388.620131265299</v>
      </c>
      <c r="E19" s="4"/>
      <c r="F19" s="4"/>
      <c r="G19" s="4">
        <f>IF($L$2&gt;B18,+D19*$H$2,"")</f>
        <v>1421.658603937959</v>
      </c>
      <c r="H19" s="4"/>
      <c r="I19" s="4"/>
      <c r="J19" s="4">
        <f>IF($L$2&gt;B18,+J18*(1+$H$2),"")</f>
        <v>15331.657488519655</v>
      </c>
      <c r="K19" s="4"/>
      <c r="L19" s="10">
        <f>IF($L$2&gt;B18,+$D$7*$H$2/(1-(1+$H$2)^-$L$2),"")</f>
        <v>16753.316092457608</v>
      </c>
      <c r="M19" s="12"/>
      <c r="N19" s="9"/>
      <c r="P19" s="26">
        <f t="shared" si="0"/>
        <v>14</v>
      </c>
    </row>
    <row r="20" spans="2:16" x14ac:dyDescent="0.25">
      <c r="B20" s="24">
        <f t="shared" si="1"/>
        <v>14</v>
      </c>
      <c r="C20" s="11" t="str">
        <f t="shared" si="2"/>
        <v>Année 14</v>
      </c>
      <c r="D20" s="4">
        <f>IF($L$2&gt;B19,+D19-J19,"")</f>
        <v>32056.962642745646</v>
      </c>
      <c r="E20" s="4"/>
      <c r="F20" s="4"/>
      <c r="G20" s="4">
        <f>IF($L$2&gt;B19,+D20*$H$2,"")</f>
        <v>961.70887928236937</v>
      </c>
      <c r="H20" s="4"/>
      <c r="I20" s="4"/>
      <c r="J20" s="4">
        <f>IF($L$2&gt;B19,+J19*(1+$H$2),"")</f>
        <v>15791.607213175244</v>
      </c>
      <c r="K20" s="4"/>
      <c r="L20" s="10">
        <f>IF($L$2&gt;B19,+$D$7*$H$2/(1-(1+$H$2)^-$L$2),"")</f>
        <v>16753.316092457608</v>
      </c>
      <c r="M20" s="12"/>
      <c r="N20" s="9"/>
      <c r="P20" s="26">
        <f t="shared" si="0"/>
        <v>15</v>
      </c>
    </row>
    <row r="21" spans="2:16" x14ac:dyDescent="0.25">
      <c r="B21" s="24">
        <f t="shared" si="1"/>
        <v>15</v>
      </c>
      <c r="C21" s="11" t="str">
        <f t="shared" si="2"/>
        <v>Année 15</v>
      </c>
      <c r="D21" s="4">
        <f>IF($L$2&gt;B20,+D20-J20,"")</f>
        <v>16265.355429570402</v>
      </c>
      <c r="E21" s="4"/>
      <c r="F21" s="4"/>
      <c r="G21" s="4">
        <f>IF($L$2&gt;B20,+D21*$H$2,"")</f>
        <v>487.96066288711205</v>
      </c>
      <c r="H21" s="4"/>
      <c r="I21" s="4"/>
      <c r="J21" s="4">
        <f>IF($L$2&gt;B20,+J20*(1+$H$2),"")</f>
        <v>16265.355429570502</v>
      </c>
      <c r="K21" s="4"/>
      <c r="L21" s="10">
        <f>IF($L$2&gt;B20,+$D$7*$H$2/(1-(1+$H$2)^-$L$2),"")</f>
        <v>16753.316092457608</v>
      </c>
      <c r="M21" s="12"/>
      <c r="P21" s="26">
        <f t="shared" si="0"/>
        <v>16</v>
      </c>
    </row>
    <row r="22" spans="2:16" x14ac:dyDescent="0.25">
      <c r="B22" s="24">
        <f t="shared" si="1"/>
        <v>16</v>
      </c>
      <c r="C22" s="11" t="str">
        <f t="shared" si="2"/>
        <v>Année 16</v>
      </c>
      <c r="D22" s="12" t="str">
        <f>IF($L$2&gt;B21,+D21-J21,"")</f>
        <v/>
      </c>
      <c r="E22" s="12"/>
      <c r="F22" s="12"/>
      <c r="G22" s="12" t="str">
        <f>IF($L$2&gt;B21,+D22*$H$2,"")</f>
        <v/>
      </c>
      <c r="H22" s="12"/>
      <c r="I22" s="12"/>
      <c r="J22" s="12" t="str">
        <f>IF($L$2&gt;B21,+J21*(1+$H$2),"")</f>
        <v/>
      </c>
      <c r="K22" s="12"/>
      <c r="L22" s="13" t="str">
        <f>IF($L$2&gt;B21,+$D$7*$H$2/(1-(1+$H$2)^-$L$2),"")</f>
        <v/>
      </c>
      <c r="M22" s="12"/>
      <c r="O22" s="12"/>
      <c r="P22" s="26">
        <f t="shared" si="0"/>
        <v>17</v>
      </c>
    </row>
    <row r="23" spans="2:16" x14ac:dyDescent="0.25">
      <c r="B23" s="24">
        <f t="shared" si="1"/>
        <v>17</v>
      </c>
      <c r="C23" s="11" t="str">
        <f t="shared" si="2"/>
        <v>Année 17</v>
      </c>
      <c r="D23" s="12" t="str">
        <f>IF($L$2&gt;B22,+D22-J22,"")</f>
        <v/>
      </c>
      <c r="E23" s="12"/>
      <c r="F23" s="12"/>
      <c r="G23" s="12" t="str">
        <f>IF($L$2&gt;B22,+D23*$H$2,"")</f>
        <v/>
      </c>
      <c r="H23" s="12"/>
      <c r="I23" s="12"/>
      <c r="J23" s="12" t="str">
        <f>IF($L$2&gt;B22,+J22*(1+$H$2),"")</f>
        <v/>
      </c>
      <c r="K23" s="12"/>
      <c r="L23" s="13" t="str">
        <f>IF($L$2&gt;B22,+$D$7*$H$2/(1-(1+$H$2)^-$L$2),"")</f>
        <v/>
      </c>
      <c r="M23" s="12"/>
      <c r="O23" s="12"/>
      <c r="P23" s="26">
        <f t="shared" si="0"/>
        <v>18</v>
      </c>
    </row>
    <row r="24" spans="2:16" x14ac:dyDescent="0.25">
      <c r="B24" s="24">
        <f t="shared" si="1"/>
        <v>18</v>
      </c>
      <c r="C24" s="11" t="str">
        <f t="shared" si="2"/>
        <v>Année 18</v>
      </c>
      <c r="D24" s="12" t="str">
        <f>IF($L$2&gt;B23,+D23-J23,"")</f>
        <v/>
      </c>
      <c r="E24" s="12"/>
      <c r="F24" s="12"/>
      <c r="G24" s="12" t="str">
        <f>IF($L$2&gt;B23,+D24*$H$2,"")</f>
        <v/>
      </c>
      <c r="H24" s="12"/>
      <c r="I24" s="12"/>
      <c r="J24" s="12" t="str">
        <f>IF($L$2&gt;B23,+J23*(1+$H$2),"")</f>
        <v/>
      </c>
      <c r="K24" s="12"/>
      <c r="L24" s="13" t="str">
        <f>IF($L$2&gt;B23,+$D$7*$H$2/(1-(1+$H$2)^-$L$2),"")</f>
        <v/>
      </c>
      <c r="M24" s="12"/>
      <c r="P24" s="26">
        <f t="shared" si="0"/>
        <v>19</v>
      </c>
    </row>
    <row r="25" spans="2:16" x14ac:dyDescent="0.25">
      <c r="B25" s="24">
        <f t="shared" si="1"/>
        <v>19</v>
      </c>
      <c r="C25" s="11" t="str">
        <f t="shared" si="2"/>
        <v>Année 19</v>
      </c>
      <c r="D25" s="12" t="str">
        <f>IF($L$2&gt;B24,+D24-J24,"")</f>
        <v/>
      </c>
      <c r="E25" s="12"/>
      <c r="F25" s="12"/>
      <c r="G25" s="12" t="str">
        <f>IF($L$2&gt;B24,+D25*$H$2,"")</f>
        <v/>
      </c>
      <c r="H25" s="12"/>
      <c r="I25" s="12"/>
      <c r="J25" s="12" t="str">
        <f>IF($L$2&gt;B24,+J24*(1+$H$2),"")</f>
        <v/>
      </c>
      <c r="K25" s="12"/>
      <c r="L25" s="13" t="str">
        <f>IF($L$2&gt;B24,+$D$7*$H$2/(1-(1+$H$2)^-$L$2),"")</f>
        <v/>
      </c>
      <c r="M25" s="12"/>
      <c r="P25" s="26">
        <f t="shared" si="0"/>
        <v>20</v>
      </c>
    </row>
    <row r="26" spans="2:16" x14ac:dyDescent="0.25">
      <c r="B26" s="24">
        <f t="shared" si="1"/>
        <v>20</v>
      </c>
      <c r="C26" s="11" t="str">
        <f t="shared" si="2"/>
        <v>Année 20</v>
      </c>
      <c r="D26" s="12" t="str">
        <f>IF($L$2&gt;B25,+D25-J25,"")</f>
        <v/>
      </c>
      <c r="E26" s="12"/>
      <c r="F26" s="12"/>
      <c r="G26" s="12" t="str">
        <f>IF($L$2&gt;B25,+D26*$H$2,"")</f>
        <v/>
      </c>
      <c r="H26" s="12"/>
      <c r="I26" s="12"/>
      <c r="J26" s="12" t="str">
        <f>IF($L$2&gt;B25,+J25*(1+$H$2),"")</f>
        <v/>
      </c>
      <c r="K26" s="12"/>
      <c r="L26" s="13" t="str">
        <f>IF($L$2&gt;B25,+$D$7*$H$2/(1-(1+$H$2)^-$L$2),"")</f>
        <v/>
      </c>
      <c r="M26" s="12"/>
      <c r="P26" s="26">
        <f t="shared" si="0"/>
        <v>21</v>
      </c>
    </row>
    <row r="27" spans="2:16" x14ac:dyDescent="0.25">
      <c r="B27" s="24">
        <f t="shared" si="1"/>
        <v>21</v>
      </c>
      <c r="C27" s="11" t="str">
        <f t="shared" si="2"/>
        <v>Année 21</v>
      </c>
      <c r="D27" s="12" t="str">
        <f>IF($L$2&gt;B26,+D26-J26,"")</f>
        <v/>
      </c>
      <c r="E27" s="12"/>
      <c r="F27" s="12"/>
      <c r="G27" s="12" t="str">
        <f>IF($L$2&gt;B26,+D27*$H$2,"")</f>
        <v/>
      </c>
      <c r="H27" s="12"/>
      <c r="I27" s="12"/>
      <c r="J27" s="12" t="str">
        <f>IF($L$2&gt;B26,+J26*(1+$H$2),"")</f>
        <v/>
      </c>
      <c r="K27" s="12"/>
      <c r="L27" s="13" t="str">
        <f>IF($L$2&gt;B26,+$D$7*$H$2/(1-(1+$H$2)^-$L$2),"")</f>
        <v/>
      </c>
      <c r="M27" s="12"/>
      <c r="P27" s="26">
        <f t="shared" si="0"/>
        <v>22</v>
      </c>
    </row>
    <row r="28" spans="2:16" x14ac:dyDescent="0.25">
      <c r="B28" s="24">
        <f t="shared" si="1"/>
        <v>22</v>
      </c>
      <c r="C28" s="11" t="str">
        <f t="shared" si="2"/>
        <v>Année 22</v>
      </c>
      <c r="D28" s="12" t="str">
        <f>IF($L$2&gt;B27,+D27-J27,"")</f>
        <v/>
      </c>
      <c r="E28" s="12"/>
      <c r="F28" s="12"/>
      <c r="G28" s="12" t="str">
        <f>IF($L$2&gt;B27,+D28*$H$2,"")</f>
        <v/>
      </c>
      <c r="H28" s="12"/>
      <c r="I28" s="12"/>
      <c r="J28" s="12" t="str">
        <f>IF($L$2&gt;B27,+J27*(1+$H$2),"")</f>
        <v/>
      </c>
      <c r="K28" s="12"/>
      <c r="L28" s="13" t="str">
        <f>IF($L$2&gt;B27,+$D$7*$H$2/(1-(1+$H$2)^-$L$2),"")</f>
        <v/>
      </c>
      <c r="P28" s="26">
        <f t="shared" si="0"/>
        <v>23</v>
      </c>
    </row>
    <row r="29" spans="2:16" x14ac:dyDescent="0.25">
      <c r="B29" s="24">
        <f t="shared" si="1"/>
        <v>23</v>
      </c>
      <c r="C29" s="11" t="str">
        <f t="shared" si="2"/>
        <v>Année 23</v>
      </c>
      <c r="D29" s="12" t="str">
        <f>IF($L$2&gt;B28,+D28-J28,"")</f>
        <v/>
      </c>
      <c r="E29" s="12"/>
      <c r="F29" s="12"/>
      <c r="G29" s="12" t="str">
        <f>IF($L$2&gt;B28,+D29*$H$2,"")</f>
        <v/>
      </c>
      <c r="H29" s="12"/>
      <c r="I29" s="12"/>
      <c r="J29" s="12" t="str">
        <f>IF($L$2&gt;B28,+J28*(1+$H$2),"")</f>
        <v/>
      </c>
      <c r="K29" s="12"/>
      <c r="L29" s="13" t="str">
        <f>IF($L$2&gt;B28,+$D$7*$H$2/(1-(1+$H$2)^-$L$2),"")</f>
        <v/>
      </c>
      <c r="P29" s="26">
        <f t="shared" si="0"/>
        <v>24</v>
      </c>
    </row>
    <row r="30" spans="2:16" x14ac:dyDescent="0.25">
      <c r="B30" s="24">
        <f t="shared" si="1"/>
        <v>24</v>
      </c>
      <c r="C30" s="11" t="str">
        <f t="shared" si="2"/>
        <v>Année 24</v>
      </c>
      <c r="D30" s="12" t="str">
        <f>IF($L$2&gt;B29,+D29-J29,"")</f>
        <v/>
      </c>
      <c r="E30" s="12"/>
      <c r="F30" s="12"/>
      <c r="G30" s="12" t="str">
        <f>IF($L$2&gt;B29,+D30*$H$2,"")</f>
        <v/>
      </c>
      <c r="H30" s="12"/>
      <c r="I30" s="12"/>
      <c r="J30" s="12" t="str">
        <f>IF($L$2&gt;B29,+J29*(1+$H$2),"")</f>
        <v/>
      </c>
      <c r="K30" s="12"/>
      <c r="L30" s="13" t="str">
        <f>IF($L$2&gt;B29,+$D$7*$H$2/(1-(1+$H$2)^-$L$2),"")</f>
        <v/>
      </c>
      <c r="P30" s="26">
        <f t="shared" si="0"/>
        <v>25</v>
      </c>
    </row>
    <row r="31" spans="2:16" x14ac:dyDescent="0.25">
      <c r="B31" s="24">
        <f t="shared" si="1"/>
        <v>25</v>
      </c>
      <c r="C31" s="11" t="str">
        <f t="shared" si="2"/>
        <v>Année 25</v>
      </c>
      <c r="D31" s="12" t="str">
        <f>IF($L$2&gt;B30,+D30-J30,"")</f>
        <v/>
      </c>
      <c r="E31" s="12"/>
      <c r="F31" s="12"/>
      <c r="G31" s="14" t="str">
        <f>IF($L$2&gt;B30,+D31*$H$2,"")</f>
        <v/>
      </c>
      <c r="H31" s="12"/>
      <c r="I31" s="12"/>
      <c r="J31" s="14" t="str">
        <f>IF($L$2&gt;B30,+J30*(1+$H$2),"")</f>
        <v/>
      </c>
      <c r="K31" s="12"/>
      <c r="L31" s="15" t="str">
        <f>IF($L$2&gt;B30,+$D$7*$H$2/(1-(1+$H$2)^-$L$2),"")</f>
        <v/>
      </c>
      <c r="P31" s="26">
        <f t="shared" si="0"/>
        <v>26</v>
      </c>
    </row>
    <row r="32" spans="2:16" x14ac:dyDescent="0.25">
      <c r="B32" s="16"/>
      <c r="C32" s="7"/>
      <c r="D32" s="14"/>
      <c r="E32" s="14"/>
      <c r="F32" s="14"/>
      <c r="G32" s="17">
        <f>SUM(G7:G31)</f>
        <v>51299.741386864094</v>
      </c>
      <c r="H32" s="17"/>
      <c r="I32" s="17"/>
      <c r="J32" s="17">
        <f>SUM(J7:J31)</f>
        <v>200000.00000000009</v>
      </c>
      <c r="K32" s="17"/>
      <c r="L32" s="18">
        <f>G32+J32</f>
        <v>251299.74138686419</v>
      </c>
    </row>
    <row r="33" spans="3:13" x14ac:dyDescent="0.25"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6" spans="3:13" x14ac:dyDescent="0.25">
      <c r="D36" s="19"/>
      <c r="G36" s="12"/>
    </row>
    <row r="37" spans="3:13" x14ac:dyDescent="0.25">
      <c r="G37" s="12"/>
      <c r="K37" s="20"/>
    </row>
    <row r="39" spans="3:13" ht="102.75" customHeight="1" x14ac:dyDescent="0.25">
      <c r="C39" s="21"/>
    </row>
    <row r="41" spans="3:13" x14ac:dyDescent="0.25">
      <c r="D41" s="22">
        <f>(1-0.082)^50</f>
        <v>1.3871839652559156E-2</v>
      </c>
    </row>
    <row r="42" spans="3:13" x14ac:dyDescent="0.25">
      <c r="D42" s="22">
        <f>50*0.082*(1-0.082)^49</f>
        <v>6.1954839406854638E-2</v>
      </c>
    </row>
    <row r="43" spans="3:13" x14ac:dyDescent="0.25">
      <c r="D43" s="19">
        <f>1-D41-D42</f>
        <v>0.92417332094058624</v>
      </c>
    </row>
    <row r="46" spans="3:13" x14ac:dyDescent="0.25">
      <c r="D46" s="1">
        <f>(1-0.082)^11</f>
        <v>0.39018403288031739</v>
      </c>
    </row>
    <row r="49" spans="3:10" x14ac:dyDescent="0.25">
      <c r="D49" s="1" t="s">
        <v>7</v>
      </c>
    </row>
    <row r="50" spans="3:10" x14ac:dyDescent="0.25">
      <c r="D50" s="1">
        <f>5.5*0.09</f>
        <v>0.495</v>
      </c>
      <c r="E50" s="23"/>
      <c r="F50" s="23"/>
      <c r="G50" s="23"/>
      <c r="H50" s="23"/>
      <c r="I50" s="23"/>
      <c r="J50" s="23"/>
    </row>
    <row r="51" spans="3:10" x14ac:dyDescent="0.25">
      <c r="D51" s="1">
        <f>0.9^7</f>
        <v>0.47829690000000014</v>
      </c>
    </row>
    <row r="53" spans="3:10" x14ac:dyDescent="0.25">
      <c r="C53" s="1">
        <v>1</v>
      </c>
      <c r="D53" s="1">
        <f>13-100/9*0.9^C53</f>
        <v>3</v>
      </c>
    </row>
    <row r="54" spans="3:10" x14ac:dyDescent="0.25">
      <c r="C54" s="1">
        <v>2</v>
      </c>
      <c r="D54" s="1">
        <f t="shared" ref="D54:D61" si="3">13-100/9*0.9^C54</f>
        <v>4</v>
      </c>
    </row>
    <row r="55" spans="3:10" x14ac:dyDescent="0.25">
      <c r="C55" s="1">
        <v>3</v>
      </c>
      <c r="D55" s="1">
        <f t="shared" si="3"/>
        <v>4.8999999999999986</v>
      </c>
    </row>
    <row r="56" spans="3:10" x14ac:dyDescent="0.25">
      <c r="C56" s="1">
        <v>4</v>
      </c>
      <c r="D56" s="1">
        <f t="shared" si="3"/>
        <v>5.7099999999999991</v>
      </c>
    </row>
    <row r="57" spans="3:10" x14ac:dyDescent="0.25">
      <c r="C57" s="1">
        <v>5</v>
      </c>
      <c r="D57" s="1">
        <f t="shared" si="3"/>
        <v>6.4389999999999983</v>
      </c>
    </row>
    <row r="58" spans="3:10" x14ac:dyDescent="0.25">
      <c r="C58" s="1">
        <v>6</v>
      </c>
      <c r="D58" s="1">
        <f t="shared" si="3"/>
        <v>7.0950999999999986</v>
      </c>
    </row>
    <row r="59" spans="3:10" x14ac:dyDescent="0.25">
      <c r="C59" s="1">
        <v>7</v>
      </c>
      <c r="D59" s="1">
        <f t="shared" si="3"/>
        <v>7.6855899999999986</v>
      </c>
    </row>
    <row r="60" spans="3:10" x14ac:dyDescent="0.25">
      <c r="C60" s="1">
        <v>8</v>
      </c>
      <c r="D60" s="1">
        <f t="shared" si="3"/>
        <v>8.2170309999999986</v>
      </c>
    </row>
    <row r="61" spans="3:10" x14ac:dyDescent="0.25">
      <c r="C61" s="1">
        <v>9</v>
      </c>
      <c r="D61" s="1">
        <f t="shared" si="3"/>
        <v>8.6953278999999988</v>
      </c>
    </row>
  </sheetData>
  <mergeCells count="4">
    <mergeCell ref="D5:D6"/>
    <mergeCell ref="G5:G6"/>
    <mergeCell ref="I5:J6"/>
    <mergeCell ref="L5:L6"/>
  </mergeCells>
  <pageMargins left="0.78740157499999996" right="0.78740157499999996" top="0.984251969" bottom="0.984251969" header="0.5" footer="0.5"/>
  <pageSetup paperSize="9" scale="80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 d'emprunt</vt:lpstr>
      <vt:lpstr>'tab d''emprunt'!Zone_d_impression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kopp</dc:creator>
  <cp:lastModifiedBy>laurent kopp</cp:lastModifiedBy>
  <dcterms:created xsi:type="dcterms:W3CDTF">2024-08-08T10:55:01Z</dcterms:created>
  <dcterms:modified xsi:type="dcterms:W3CDTF">2024-08-08T12:01:34Z</dcterms:modified>
</cp:coreProperties>
</file>